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>
    <definedName name="_xlnm.Print_Area" localSheetId="0">'січень'!$A$1:$R$87</definedName>
  </definedNames>
  <calcPr fullCalcOnLoad="1"/>
</workbook>
</file>

<file path=xl/sharedStrings.xml><?xml version="1.0" encoding="utf-8"?>
<sst xmlns="http://schemas.openxmlformats.org/spreadsheetml/2006/main" count="123" uniqueCount="117">
  <si>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</si>
  <si>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</si>
  <si>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</si>
  <si>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</si>
  <si>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</si>
  <si>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</si>
  <si>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</si>
  <si>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</si>
  <si>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</si>
  <si>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</si>
  <si>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</si>
  <si>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</si>
  <si>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</si>
  <si>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</si>
  <si>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</si>
  <si>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</si>
  <si>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</si>
  <si>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</si>
  <si>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</si>
  <si>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</si>
  <si>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</si>
  <si>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</si>
  <si>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</si>
  <si>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</si>
  <si>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</si>
  <si>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</si>
  <si>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</si>
  <si>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</si>
  <si>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</si>
  <si>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</si>
  <si>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</si>
  <si>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</si>
  <si>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</si>
  <si>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</si>
  <si>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</si>
  <si>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</si>
  <si>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</si>
  <si>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</si>
  <si>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</si>
  <si>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</si>
  <si>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</si>
  <si>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</si>
  <si>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</si>
  <si>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</si>
  <si>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</si>
  <si>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</si>
  <si>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</si>
  <si>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</si>
  <si>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</si>
  <si>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</si>
  <si>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</si>
  <si>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</si>
  <si>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</si>
  <si>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</si>
  <si>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</si>
  <si>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</si>
  <si>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</si>
  <si>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</si>
  <si>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</si>
  <si>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</si>
  <si>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</si>
  <si>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</si>
  <si>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</si>
  <si>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</si>
  <si>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</si>
  <si>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</si>
  <si>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</si>
  <si>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Динаміка  фактичних надходжень січень 2013 та 2014 років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</si>
  <si>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</si>
  <si>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</si>
  <si>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</si>
  <si>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</si>
  <si>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</si>
  <si>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</si>
  <si>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</si>
  <si>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</si>
  <si>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</si>
  <si>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</si>
  <si>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</si>
  <si>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</si>
  <si>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</si>
  <si>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</si>
  <si>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</si>
  <si>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</si>
  <si>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</si>
  <si>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</si>
  <si>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</si>
  <si>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</si>
  <si>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</si>
  <si>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</si>
  <si>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</si>
  <si>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</si>
  <si>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</si>
  <si>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</si>
  <si>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</si>
  <si>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</si>
  <si>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</si>
  <si>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</si>
  <si>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</si>
  <si>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</si>
  <si>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</si>
  <si>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</si>
  <si>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</si>
  <si>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</si>
  <si>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</si>
  <si>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</si>
  <si>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</si>
  <si>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</si>
  <si>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</si>
  <si>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</si>
  <si>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</si>
  <si>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</si>
  <si>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 2015 рік</t>
    </r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</si>
  <si>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</si>
  <si>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</si>
  <si>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</si>
  <si>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29.01.2016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</si>
</sst>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7" sqref="D8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74" t="s">
        <v>116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92"/>
      <c r="R1" s="93"/>
    </row>
    <row r="2" spans="2:18" s="1" customFormat="1" ht="15.75" customHeight="1">
      <c r="B2" s="175"/>
      <c r="C2" s="175"/>
      <c r="D2" s="17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76"/>
      <c r="B3" s="178"/>
      <c r="C3" s="179" t="s">
        <v>0</v>
      </c>
      <c r="D3" s="180" t="s">
        <v>112</v>
      </c>
      <c r="E3" s="34"/>
      <c r="F3" s="181" t="s">
        <v>26</v>
      </c>
      <c r="G3" s="182"/>
      <c r="H3" s="182"/>
      <c r="I3" s="182"/>
      <c r="J3" s="183"/>
      <c r="K3" s="89"/>
      <c r="L3" s="89"/>
      <c r="M3" s="184" t="s">
        <v>108</v>
      </c>
      <c r="N3" s="185" t="s">
        <v>66</v>
      </c>
      <c r="O3" s="185"/>
      <c r="P3" s="185"/>
      <c r="Q3" s="185"/>
      <c r="R3" s="185"/>
    </row>
    <row r="4" spans="1:18" ht="22.5" customHeight="1">
      <c r="A4" s="176"/>
      <c r="B4" s="178"/>
      <c r="C4" s="179"/>
      <c r="D4" s="180"/>
      <c r="E4" s="186" t="s">
        <v>105</v>
      </c>
      <c r="F4" s="171" t="s">
        <v>34</v>
      </c>
      <c r="G4" s="167" t="s">
        <v>110</v>
      </c>
      <c r="H4" s="163" t="s">
        <v>111</v>
      </c>
      <c r="I4" s="167" t="s">
        <v>106</v>
      </c>
      <c r="J4" s="163" t="s">
        <v>107</v>
      </c>
      <c r="K4" s="91" t="s">
        <v>65</v>
      </c>
      <c r="L4" s="96" t="s">
        <v>64</v>
      </c>
      <c r="M4" s="163"/>
      <c r="N4" s="165" t="s">
        <v>104</v>
      </c>
      <c r="O4" s="167" t="s">
        <v>50</v>
      </c>
      <c r="P4" s="173" t="s">
        <v>49</v>
      </c>
      <c r="Q4" s="97" t="s">
        <v>65</v>
      </c>
      <c r="R4" s="98" t="s">
        <v>64</v>
      </c>
    </row>
    <row r="5" spans="1:18" ht="92.25" customHeight="1">
      <c r="A5" s="177"/>
      <c r="B5" s="178"/>
      <c r="C5" s="179"/>
      <c r="D5" s="180"/>
      <c r="E5" s="187"/>
      <c r="F5" s="172"/>
      <c r="G5" s="168"/>
      <c r="H5" s="164"/>
      <c r="I5" s="168"/>
      <c r="J5" s="164"/>
      <c r="K5" s="169" t="s">
        <v>109</v>
      </c>
      <c r="L5" s="170"/>
      <c r="M5" s="164"/>
      <c r="N5" s="166"/>
      <c r="O5" s="168"/>
      <c r="P5" s="173"/>
      <c r="Q5" s="169" t="s">
        <v>67</v>
      </c>
      <c r="R5" s="170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">
        <f>F9+F15+F18+F19+F20+F32+F17+F42</f>
        <v>51975.05</v>
      </c>
      <c r="G8" s="15">
        <f aca="true" t="shared" si="0" ref="G8:G15">F8-E8</f>
        <v>-602.1699999999983</v>
      </c>
      <c r="H8" s="38">
        <f>F8/E8*100</f>
        <v>98.85469410516569</v>
      </c>
      <c r="I8" s="28">
        <f>F8-D8</f>
        <v>-105025.89999999998</v>
      </c>
      <c r="J8" s="28">
        <f>F8/D8*100</f>
        <v>33.10492707209734</v>
      </c>
      <c r="K8" s="15">
        <f>K9+K15+K18+K19+K20+K32</f>
        <v>14259.71</v>
      </c>
      <c r="L8" s="15"/>
      <c r="M8" s="15">
        <f>M9+M15+M18+M19+M20+M32+M17</f>
        <v>52577.22</v>
      </c>
      <c r="N8" s="15">
        <f>N9+N15+N18+N19+N20+N32+N17</f>
        <v>51974.020000000004</v>
      </c>
      <c r="O8" s="15">
        <f>N8-M8</f>
        <v>-603.1999999999971</v>
      </c>
      <c r="P8" s="15">
        <f>N8/M8*100</f>
        <v>98.85273508184724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80394.55</v>
      </c>
      <c r="E9" s="33">
        <v>27341.52</v>
      </c>
      <c r="F9" s="117">
        <v>25287.3</v>
      </c>
      <c r="G9" s="36">
        <f t="shared" si="0"/>
        <v>-2054.220000000001</v>
      </c>
      <c r="H9" s="32">
        <f>F9/E9*100</f>
        <v>92.48681126725945</v>
      </c>
      <c r="I9" s="42">
        <f>F9-D9</f>
        <v>-55107.25</v>
      </c>
      <c r="J9" s="42">
        <f>F9/D9*100</f>
        <v>31.453997814528474</v>
      </c>
      <c r="K9" s="106">
        <f>F9-23209.38</f>
        <v>2077.9199999999983</v>
      </c>
      <c r="L9" s="106">
        <f>F9/23209.38*100</f>
        <v>108.9529319611295</v>
      </c>
      <c r="M9" s="32">
        <f>E9</f>
        <v>27341.52</v>
      </c>
      <c r="N9" s="32">
        <f>F9</f>
        <v>25287.3</v>
      </c>
      <c r="O9" s="40">
        <f>N9-M9</f>
        <v>-2054.220000000001</v>
      </c>
      <c r="P9" s="42">
        <f>N9/M9*100</f>
        <v>92.48681126725945</v>
      </c>
      <c r="Q9" s="106">
        <f>N9-26568.11</f>
        <v>-1280.8100000000013</v>
      </c>
      <c r="R9" s="107">
        <f>N9/26568.11</f>
        <v>0.9517914522335236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72484.55</v>
      </c>
      <c r="E10" s="109">
        <v>24361.52</v>
      </c>
      <c r="F10" s="118">
        <v>23473.04</v>
      </c>
      <c r="G10" s="109">
        <f t="shared" si="0"/>
        <v>-888.4799999999996</v>
      </c>
      <c r="H10" s="32">
        <f aca="true" t="shared" si="1" ref="H10:H32">F10/E10*100</f>
        <v>96.35293692675991</v>
      </c>
      <c r="I10" s="42">
        <f aca="true" t="shared" si="2" ref="I10:I32">F10-D10</f>
        <v>-49011.51</v>
      </c>
      <c r="J10" s="42">
        <f aca="true" t="shared" si="3" ref="J10:J32">F10/D10*100</f>
        <v>32.383507933759674</v>
      </c>
      <c r="K10" s="112">
        <f>F10-310040.1/75*60</f>
        <v>-224559.03999999995</v>
      </c>
      <c r="L10" s="112">
        <f>F10/(310040.1/75*60)*100</f>
        <v>9.463711307021255</v>
      </c>
      <c r="M10" s="111">
        <f aca="true" t="shared" si="4" ref="M10:M15">E10</f>
        <v>24361.52</v>
      </c>
      <c r="N10" s="111">
        <f aca="true" t="shared" si="5" ref="N10:N32">F10</f>
        <v>23473.04</v>
      </c>
      <c r="O10" s="40">
        <f aca="true" t="shared" si="6" ref="O10:O32">N10-M10</f>
        <v>-888.4799999999996</v>
      </c>
      <c r="P10" s="42">
        <f aca="true" t="shared" si="7" ref="P10:P32">N10/M10*100</f>
        <v>96.35293692675991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4200</v>
      </c>
      <c r="E11" s="109">
        <v>1500</v>
      </c>
      <c r="F11" s="118">
        <v>1217.21</v>
      </c>
      <c r="G11" s="109">
        <f t="shared" si="0"/>
        <v>-282.78999999999996</v>
      </c>
      <c r="H11" s="32">
        <f t="shared" si="1"/>
        <v>81.14733333333334</v>
      </c>
      <c r="I11" s="42">
        <f t="shared" si="2"/>
        <v>-2982.79</v>
      </c>
      <c r="J11" s="42">
        <f t="shared" si="3"/>
        <v>28.981190476190477</v>
      </c>
      <c r="K11" s="112">
        <f>F11-24192.03/75*60</f>
        <v>-18136.413999999997</v>
      </c>
      <c r="L11" s="112">
        <f>F11/(24192.03/75*60)*100</f>
        <v>6.289313050620391</v>
      </c>
      <c r="M11" s="111">
        <f t="shared" si="4"/>
        <v>1500</v>
      </c>
      <c r="N11" s="111">
        <f t="shared" si="5"/>
        <v>1217.21</v>
      </c>
      <c r="O11" s="40">
        <f t="shared" si="6"/>
        <v>-282.78999999999996</v>
      </c>
      <c r="P11" s="42">
        <f t="shared" si="7"/>
        <v>81.14733333333334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1220</v>
      </c>
      <c r="E12" s="109">
        <v>650</v>
      </c>
      <c r="F12" s="118">
        <v>407.1</v>
      </c>
      <c r="G12" s="109">
        <f t="shared" si="0"/>
        <v>-242.89999999999998</v>
      </c>
      <c r="H12" s="32">
        <f t="shared" si="1"/>
        <v>62.63076923076923</v>
      </c>
      <c r="I12" s="42">
        <f t="shared" si="2"/>
        <v>-812.9</v>
      </c>
      <c r="J12" s="42">
        <f t="shared" si="3"/>
        <v>33.368852459016395</v>
      </c>
      <c r="K12" s="112">
        <f>F12-6123.95/75*60</f>
        <v>-4492.0599999999995</v>
      </c>
      <c r="L12" s="112">
        <f>F12/(6123.95*60)*100</f>
        <v>0.11079450354754693</v>
      </c>
      <c r="M12" s="111">
        <f t="shared" si="4"/>
        <v>650</v>
      </c>
      <c r="N12" s="111">
        <f t="shared" si="5"/>
        <v>407.1</v>
      </c>
      <c r="O12" s="40">
        <f t="shared" si="6"/>
        <v>-242.89999999999998</v>
      </c>
      <c r="P12" s="42">
        <f t="shared" si="7"/>
        <v>62.63076923076923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690</v>
      </c>
      <c r="E13" s="109">
        <v>230</v>
      </c>
      <c r="F13" s="118">
        <v>188.91</v>
      </c>
      <c r="G13" s="109">
        <f t="shared" si="0"/>
        <v>-41.09</v>
      </c>
      <c r="H13" s="32">
        <f t="shared" si="1"/>
        <v>82.13478260869566</v>
      </c>
      <c r="I13" s="42">
        <f t="shared" si="2"/>
        <v>-501.09000000000003</v>
      </c>
      <c r="J13" s="42">
        <f t="shared" si="3"/>
        <v>27.378260869565217</v>
      </c>
      <c r="K13" s="112">
        <f>F13-8694.58/75*60</f>
        <v>-6766.754</v>
      </c>
      <c r="L13" s="112">
        <f>F13/(8694.58/75*60)*100</f>
        <v>2.7159161224578994</v>
      </c>
      <c r="M13" s="111">
        <f t="shared" si="4"/>
        <v>230</v>
      </c>
      <c r="N13" s="111">
        <f t="shared" si="5"/>
        <v>188.91</v>
      </c>
      <c r="O13" s="40">
        <f t="shared" si="6"/>
        <v>-41.09</v>
      </c>
      <c r="P13" s="42">
        <f t="shared" si="7"/>
        <v>82.13478260869566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1800</v>
      </c>
      <c r="E14" s="109">
        <v>600</v>
      </c>
      <c r="F14" s="11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F14-146.72/75*60</f>
        <v>-116.33599999999998</v>
      </c>
      <c r="L14" s="112">
        <f>F14/(146.72/75*60)*100</f>
        <v>0.886041439476554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1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7000</v>
      </c>
      <c r="F19" s="125">
        <v>4708.54</v>
      </c>
      <c r="G19" s="36">
        <f t="shared" si="8"/>
        <v>-2291.46</v>
      </c>
      <c r="H19" s="32">
        <f t="shared" si="1"/>
        <v>67.26485714285714</v>
      </c>
      <c r="I19" s="42">
        <f t="shared" si="2"/>
        <v>-16391.46</v>
      </c>
      <c r="J19" s="42">
        <f t="shared" si="3"/>
        <v>22.315355450236968</v>
      </c>
      <c r="K19" s="133">
        <f>F19-0</f>
        <v>4708.54</v>
      </c>
      <c r="L19" s="134"/>
      <c r="M19" s="32">
        <f t="shared" si="9"/>
        <v>7000</v>
      </c>
      <c r="N19" s="32">
        <f t="shared" si="5"/>
        <v>4708.54</v>
      </c>
      <c r="O19" s="40">
        <f t="shared" si="6"/>
        <v>-2291.46</v>
      </c>
      <c r="P19" s="42">
        <f t="shared" si="7"/>
        <v>67.26485714285714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18234.5</v>
      </c>
      <c r="F20" s="126">
        <f>F21+F25+F27+F26</f>
        <v>21968.520000000004</v>
      </c>
      <c r="G20" s="36">
        <f t="shared" si="8"/>
        <v>3734.020000000004</v>
      </c>
      <c r="H20" s="32">
        <f t="shared" si="1"/>
        <v>120.47777564506843</v>
      </c>
      <c r="I20" s="42">
        <f t="shared" si="2"/>
        <v>-31404.979999999996</v>
      </c>
      <c r="J20" s="42">
        <f t="shared" si="3"/>
        <v>41.1599763927792</v>
      </c>
      <c r="K20" s="132">
        <f>K21+K25+K26+K27</f>
        <v>6906.26</v>
      </c>
      <c r="L20" s="110">
        <f>F20/15062.3*100</f>
        <v>145.85103204689858</v>
      </c>
      <c r="M20" s="32">
        <f t="shared" si="9"/>
        <v>18234.5</v>
      </c>
      <c r="N20" s="32">
        <f t="shared" si="5"/>
        <v>21968.520000000004</v>
      </c>
      <c r="O20" s="40">
        <f t="shared" si="6"/>
        <v>3734.020000000004</v>
      </c>
      <c r="P20" s="42">
        <f t="shared" si="7"/>
        <v>120.47777564506843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9720</v>
      </c>
      <c r="F21" s="126">
        <f>F22+F23+F24</f>
        <v>9636.02</v>
      </c>
      <c r="G21" s="36">
        <f t="shared" si="8"/>
        <v>-83.97999999999956</v>
      </c>
      <c r="H21" s="32">
        <f t="shared" si="1"/>
        <v>99.13600823045267</v>
      </c>
      <c r="I21" s="42">
        <f t="shared" si="2"/>
        <v>-22893.98</v>
      </c>
      <c r="J21" s="42">
        <f t="shared" si="3"/>
        <v>29.62194897018137</v>
      </c>
      <c r="K21" s="132">
        <f>K22+K23+K24</f>
        <v>3053.3399999999997</v>
      </c>
      <c r="L21" s="110">
        <f>F21/6582.7*100</f>
        <v>146.38400656265668</v>
      </c>
      <c r="M21" s="32">
        <f t="shared" si="9"/>
        <v>9720</v>
      </c>
      <c r="N21" s="32">
        <f t="shared" si="5"/>
        <v>9636.02</v>
      </c>
      <c r="O21" s="40">
        <f t="shared" si="6"/>
        <v>-83.97999999999956</v>
      </c>
      <c r="P21" s="42">
        <f t="shared" si="7"/>
        <v>99.13600823045267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f>320+378+2002+600</f>
        <v>3300</v>
      </c>
      <c r="E22" s="109">
        <f>45+4+1+200</f>
        <v>250</v>
      </c>
      <c r="F22" s="118">
        <v>2671.85</v>
      </c>
      <c r="G22" s="109">
        <f>F22-E22</f>
        <v>2421.85</v>
      </c>
      <c r="H22" s="111">
        <f t="shared" si="1"/>
        <v>1068.74</v>
      </c>
      <c r="I22" s="110">
        <f t="shared" si="2"/>
        <v>-628.1500000000001</v>
      </c>
      <c r="J22" s="110">
        <f t="shared" si="3"/>
        <v>80.96515151515152</v>
      </c>
      <c r="K22" s="110">
        <f>F22-84.67</f>
        <v>2587.18</v>
      </c>
      <c r="L22" s="110">
        <f>F22/84.67*100</f>
        <v>3155.6041100744064</v>
      </c>
      <c r="M22" s="111">
        <f t="shared" si="9"/>
        <v>250</v>
      </c>
      <c r="N22" s="111">
        <f t="shared" si="5"/>
        <v>2671.85</v>
      </c>
      <c r="O22" s="112">
        <f t="shared" si="6"/>
        <v>2421.85</v>
      </c>
      <c r="P22" s="110">
        <f t="shared" si="7"/>
        <v>1068.74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f>30+30</f>
        <v>60</v>
      </c>
      <c r="E23" s="109">
        <f>10+10</f>
        <v>20</v>
      </c>
      <c r="F23" s="118">
        <v>117.29</v>
      </c>
      <c r="G23" s="109">
        <f>F23-E23</f>
        <v>97.29</v>
      </c>
      <c r="H23" s="111">
        <f t="shared" si="1"/>
        <v>586.45</v>
      </c>
      <c r="I23" s="110">
        <f t="shared" si="2"/>
        <v>57.290000000000006</v>
      </c>
      <c r="J23" s="110">
        <f t="shared" si="3"/>
        <v>195.48333333333335</v>
      </c>
      <c r="K23" s="110">
        <f>F23-0</f>
        <v>117.29</v>
      </c>
      <c r="L23" s="110"/>
      <c r="M23" s="111">
        <f t="shared" si="9"/>
        <v>20</v>
      </c>
      <c r="N23" s="111">
        <f t="shared" si="5"/>
        <v>117.29</v>
      </c>
      <c r="O23" s="112">
        <f t="shared" si="6"/>
        <v>97.29</v>
      </c>
      <c r="P23" s="110">
        <f t="shared" si="7"/>
        <v>586.45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f>7700+17200+170+4100</f>
        <v>29170</v>
      </c>
      <c r="E24" s="109">
        <f>2500+5600+50+1300</f>
        <v>9450</v>
      </c>
      <c r="F24" s="118">
        <v>6846.88</v>
      </c>
      <c r="G24" s="109">
        <f>F24-E24</f>
        <v>-2603.12</v>
      </c>
      <c r="H24" s="111">
        <f t="shared" si="1"/>
        <v>72.45375661375661</v>
      </c>
      <c r="I24" s="110">
        <f t="shared" si="2"/>
        <v>-22323.12</v>
      </c>
      <c r="J24" s="110">
        <f t="shared" si="3"/>
        <v>23.472334590332533</v>
      </c>
      <c r="K24" s="142">
        <f>F24-6498.01</f>
        <v>348.8699999999999</v>
      </c>
      <c r="L24" s="142">
        <f>F24/6498.01*100</f>
        <v>105.36887447079953</v>
      </c>
      <c r="M24" s="111">
        <f t="shared" si="9"/>
        <v>9450</v>
      </c>
      <c r="N24" s="111">
        <f t="shared" si="5"/>
        <v>6846.88</v>
      </c>
      <c r="O24" s="112">
        <f t="shared" si="6"/>
        <v>-2603.12</v>
      </c>
      <c r="P24" s="110">
        <f t="shared" si="7"/>
        <v>72.45375661375661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12</v>
      </c>
      <c r="F25" s="125">
        <v>2.51</v>
      </c>
      <c r="G25" s="36">
        <f>F25-E25</f>
        <v>-9.49</v>
      </c>
      <c r="H25" s="32">
        <f t="shared" si="1"/>
        <v>20.916666666666664</v>
      </c>
      <c r="I25" s="42">
        <f t="shared" si="2"/>
        <v>-33.49</v>
      </c>
      <c r="J25" s="42">
        <f t="shared" si="3"/>
        <v>6.972222222222221</v>
      </c>
      <c r="K25" s="132">
        <f>F25-2.4</f>
        <v>0.10999999999999988</v>
      </c>
      <c r="L25" s="132">
        <f>F25/2.4*100</f>
        <v>104.58333333333334</v>
      </c>
      <c r="M25" s="32">
        <f t="shared" si="9"/>
        <v>12</v>
      </c>
      <c r="N25" s="32">
        <f t="shared" si="5"/>
        <v>2.51</v>
      </c>
      <c r="O25" s="40">
        <f t="shared" si="6"/>
        <v>-9.49</v>
      </c>
      <c r="P25" s="42">
        <f t="shared" si="7"/>
        <v>20.916666666666664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8502.5</v>
      </c>
      <c r="F27" s="125">
        <v>12330.34</v>
      </c>
      <c r="G27" s="36">
        <f t="shared" si="10"/>
        <v>3827.84</v>
      </c>
      <c r="H27" s="32">
        <f t="shared" si="1"/>
        <v>145.02017053807702</v>
      </c>
      <c r="I27" s="42">
        <f t="shared" si="2"/>
        <v>-8477.16</v>
      </c>
      <c r="J27" s="42">
        <f t="shared" si="3"/>
        <v>59.259113300492615</v>
      </c>
      <c r="K27" s="106">
        <f>F27-8334.48</f>
        <v>3995.8600000000006</v>
      </c>
      <c r="L27" s="106">
        <f>F27/8334.48*100</f>
        <v>147.94372294372295</v>
      </c>
      <c r="M27" s="32">
        <f t="shared" si="9"/>
        <v>8502.5</v>
      </c>
      <c r="N27" s="32">
        <f t="shared" si="5"/>
        <v>12330.34</v>
      </c>
      <c r="O27" s="40">
        <f t="shared" si="6"/>
        <v>3827.84</v>
      </c>
      <c r="P27" s="42">
        <f t="shared" si="7"/>
        <v>145.02017053807702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10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5800</v>
      </c>
      <c r="E29" s="109">
        <v>2500</v>
      </c>
      <c r="F29" s="118">
        <v>2005.39</v>
      </c>
      <c r="G29" s="36">
        <f t="shared" si="10"/>
        <v>-494.6099999999999</v>
      </c>
      <c r="H29" s="32">
        <f t="shared" si="1"/>
        <v>80.21560000000001</v>
      </c>
      <c r="I29" s="42">
        <f t="shared" si="2"/>
        <v>-3794.6099999999997</v>
      </c>
      <c r="J29" s="42">
        <f t="shared" si="3"/>
        <v>34.57568965517241</v>
      </c>
      <c r="K29" s="113">
        <f>F29-22211.27</f>
        <v>-20205.88</v>
      </c>
      <c r="L29" s="113">
        <f>F29/22211.27*100</f>
        <v>9.02870479715928</v>
      </c>
      <c r="M29" s="32">
        <f t="shared" si="9"/>
        <v>2500</v>
      </c>
      <c r="N29" s="32">
        <f t="shared" si="5"/>
        <v>2005.39</v>
      </c>
      <c r="O29" s="40">
        <f t="shared" si="6"/>
        <v>-494.6099999999999</v>
      </c>
      <c r="P29" s="42">
        <f t="shared" si="7"/>
        <v>80.21560000000001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15000</v>
      </c>
      <c r="E30" s="109">
        <v>6000</v>
      </c>
      <c r="F30" s="118">
        <v>10324.98</v>
      </c>
      <c r="G30" s="36">
        <f t="shared" si="10"/>
        <v>4324.98</v>
      </c>
      <c r="H30" s="32">
        <f t="shared" si="1"/>
        <v>172.083</v>
      </c>
      <c r="I30" s="42">
        <f t="shared" si="2"/>
        <v>-4675.02</v>
      </c>
      <c r="J30" s="42">
        <f t="shared" si="3"/>
        <v>68.83319999999999</v>
      </c>
      <c r="K30" s="113">
        <f>F30-57105.32</f>
        <v>-46780.34</v>
      </c>
      <c r="L30" s="113">
        <f>F30/57105.32*100</f>
        <v>18.08059214097741</v>
      </c>
      <c r="M30" s="32">
        <f t="shared" si="9"/>
        <v>6000</v>
      </c>
      <c r="N30" s="32">
        <f t="shared" si="5"/>
        <v>10324.98</v>
      </c>
      <c r="O30" s="40">
        <f t="shared" si="6"/>
        <v>4324.98</v>
      </c>
      <c r="P30" s="42">
        <f t="shared" si="7"/>
        <v>172.083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7.5</v>
      </c>
      <c r="E31" s="109">
        <v>2.5</v>
      </c>
      <c r="F31" s="118">
        <v>-0.03</v>
      </c>
      <c r="G31" s="36">
        <f t="shared" si="10"/>
        <v>-2.53</v>
      </c>
      <c r="H31" s="32">
        <f t="shared" si="1"/>
        <v>-1.2</v>
      </c>
      <c r="I31" s="42">
        <f t="shared" si="2"/>
        <v>-7.53</v>
      </c>
      <c r="J31" s="42">
        <f t="shared" si="3"/>
        <v>-0.4</v>
      </c>
      <c r="K31" s="113">
        <f>F31-0</f>
        <v>-0.03</v>
      </c>
      <c r="L31" s="113"/>
      <c r="M31" s="32">
        <f t="shared" si="9"/>
        <v>2.5</v>
      </c>
      <c r="N31" s="32">
        <f t="shared" si="5"/>
        <v>-0.03</v>
      </c>
      <c r="O31" s="40">
        <f t="shared" si="6"/>
        <v>-2.53</v>
      </c>
      <c r="P31" s="42">
        <f t="shared" si="7"/>
        <v>-1.2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25">
        <v>9.66</v>
      </c>
      <c r="G32" s="36">
        <f t="shared" si="10"/>
        <v>8.46</v>
      </c>
      <c r="H32" s="32">
        <f t="shared" si="1"/>
        <v>805.0000000000001</v>
      </c>
      <c r="I32" s="42">
        <f t="shared" si="2"/>
        <v>-2023.24</v>
      </c>
      <c r="J32" s="42">
        <f t="shared" si="3"/>
        <v>0.47518323577155785</v>
      </c>
      <c r="K32" s="132">
        <f>F32-8.89</f>
        <v>0.7699999999999996</v>
      </c>
      <c r="L32" s="132">
        <f>F32/8.89*100</f>
        <v>108.66141732283464</v>
      </c>
      <c r="M32" s="32">
        <f t="shared" si="9"/>
        <v>1.2</v>
      </c>
      <c r="N32" s="32">
        <f t="shared" si="5"/>
        <v>9.66</v>
      </c>
      <c r="O32" s="40">
        <f t="shared" si="6"/>
        <v>8.46</v>
      </c>
      <c r="P32" s="42">
        <f t="shared" si="7"/>
        <v>805.0000000000001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</f>
        <v>6959.3</v>
      </c>
      <c r="E33" s="15">
        <f>E34+E35+E36+E37+E38+E44+E45+E50+E51+E55+E41+E39+E54</f>
        <v>2316.1</v>
      </c>
      <c r="F33" s="15">
        <f>F34+F35+F36+F37+F38+F44+F45+F50+F51+F55+F41+F39+F54</f>
        <v>1953.2200000000003</v>
      </c>
      <c r="G33" s="37">
        <f>F33-E33</f>
        <v>-362.87999999999965</v>
      </c>
      <c r="H33" s="38">
        <f>F33/E33*100</f>
        <v>84.33228271663575</v>
      </c>
      <c r="I33" s="28">
        <f>F33-D33</f>
        <v>-5006.08</v>
      </c>
      <c r="J33" s="28">
        <f>F33/D33*100</f>
        <v>28.066328510051303</v>
      </c>
      <c r="K33" s="15">
        <f>K34+K35+K36+K37+K38+K44+K45+K50+K51+K55+K41</f>
        <v>930.84</v>
      </c>
      <c r="L33" s="15"/>
      <c r="M33" s="15">
        <f>M34+M35+M36+M37+M38+M44+M45+M50+M51+M55+M41+M39</f>
        <v>2316.1</v>
      </c>
      <c r="N33" s="15">
        <f>N34+N35+N36+N37+N38+N44+N45+N50+N51+N55+N41+N39</f>
        <v>1953.2200000000003</v>
      </c>
      <c r="O33" s="15">
        <f>N33/M33*100</f>
        <v>84.33228271663575</v>
      </c>
      <c r="P33" s="15">
        <f>N33/M33*100</f>
        <v>84.33228271663575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0</v>
      </c>
      <c r="F34" s="11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>
        <f>N34-0</f>
        <v>4.71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0</v>
      </c>
      <c r="E35" s="33">
        <v>0</v>
      </c>
      <c r="F35" s="11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>
        <f>N35-0</f>
        <v>0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17">
        <v>16.27</v>
      </c>
      <c r="G36" s="36">
        <f t="shared" si="11"/>
        <v>14.27</v>
      </c>
      <c r="H36" s="32">
        <f aca="true" t="shared" si="16" ref="H36:H56">F36/E36*100</f>
        <v>813.5</v>
      </c>
      <c r="I36" s="42">
        <f t="shared" si="12"/>
        <v>10.27</v>
      </c>
      <c r="J36" s="42">
        <f aca="true" t="shared" si="17" ref="J36:J56">F36/D36*100</f>
        <v>271.16666666666663</v>
      </c>
      <c r="K36" s="42">
        <f>F36-1.67</f>
        <v>14.6</v>
      </c>
      <c r="L36" s="42">
        <f>F36/1.67*100</f>
        <v>974.2514970059881</v>
      </c>
      <c r="M36" s="32">
        <f t="shared" si="13"/>
        <v>2</v>
      </c>
      <c r="N36" s="32">
        <f t="shared" si="14"/>
        <v>16.27</v>
      </c>
      <c r="O36" s="40">
        <f t="shared" si="15"/>
        <v>14.27</v>
      </c>
      <c r="P36" s="42">
        <f aca="true" t="shared" si="18" ref="P36:P56">N36/M36*100</f>
        <v>813.5</v>
      </c>
      <c r="Q36" s="42">
        <f>N36-4.23</f>
        <v>12.04</v>
      </c>
      <c r="R36" s="100">
        <f>N36/4.23</f>
        <v>3.846335697399527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1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>
        <f>N38-9.02</f>
        <v>-15.42</v>
      </c>
      <c r="R38" s="100">
        <f>N38/9.02</f>
        <v>-0.7095343680709535</v>
      </c>
    </row>
    <row r="39" spans="1:18" s="6" customFormat="1" ht="46.5" hidden="1">
      <c r="A39" s="8"/>
      <c r="B39" s="145" t="s">
        <v>84</v>
      </c>
      <c r="C39" s="54">
        <v>21081500</v>
      </c>
      <c r="D39" s="33">
        <v>0</v>
      </c>
      <c r="E39" s="33"/>
      <c r="F39" s="11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1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2250</v>
      </c>
      <c r="E41" s="33">
        <v>750</v>
      </c>
      <c r="F41" s="117">
        <v>503.91</v>
      </c>
      <c r="G41" s="36">
        <f t="shared" si="11"/>
        <v>-246.08999999999997</v>
      </c>
      <c r="H41" s="32">
        <f t="shared" si="16"/>
        <v>67.188</v>
      </c>
      <c r="I41" s="42">
        <f t="shared" si="12"/>
        <v>-1746.09</v>
      </c>
      <c r="J41" s="42">
        <f t="shared" si="17"/>
        <v>22.396</v>
      </c>
      <c r="K41" s="42">
        <f>F41-0</f>
        <v>503.91</v>
      </c>
      <c r="L41" s="42"/>
      <c r="M41" s="32">
        <f t="shared" si="13"/>
        <v>750</v>
      </c>
      <c r="N41" s="32">
        <f t="shared" si="14"/>
        <v>503.91</v>
      </c>
      <c r="O41" s="40">
        <f t="shared" si="15"/>
        <v>-246.08999999999997</v>
      </c>
      <c r="P41" s="42">
        <f t="shared" si="18"/>
        <v>67.188</v>
      </c>
      <c r="Q41" s="42"/>
      <c r="R41" s="100"/>
    </row>
    <row r="42" spans="1:18" s="6" customFormat="1" ht="30.75">
      <c r="A42" s="8"/>
      <c r="B42" s="35" t="s">
        <v>113</v>
      </c>
      <c r="C42" s="77">
        <v>22012600</v>
      </c>
      <c r="D42" s="33">
        <v>0</v>
      </c>
      <c r="E42" s="33">
        <v>0</v>
      </c>
      <c r="F42" s="11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1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1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>
        <f>N44-647.49</f>
        <v>68.74000000000001</v>
      </c>
      <c r="R44" s="100">
        <f>N44/647.49</f>
        <v>1.1061638017575561</v>
      </c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17">
        <v>386.07</v>
      </c>
      <c r="G45" s="36">
        <f t="shared" si="11"/>
        <v>-120.03000000000003</v>
      </c>
      <c r="H45" s="32">
        <f t="shared" si="16"/>
        <v>76.28334321280379</v>
      </c>
      <c r="I45" s="42">
        <f t="shared" si="12"/>
        <v>-1132.23</v>
      </c>
      <c r="J45" s="42">
        <f t="shared" si="17"/>
        <v>25.427781070934596</v>
      </c>
      <c r="K45" s="42">
        <f>F45-59.21</f>
        <v>326.86</v>
      </c>
      <c r="L45" s="42">
        <f>F45/59.21*100</f>
        <v>652.0351292011484</v>
      </c>
      <c r="M45" s="32">
        <f t="shared" si="13"/>
        <v>506.1</v>
      </c>
      <c r="N45" s="32">
        <f t="shared" si="14"/>
        <v>386.07</v>
      </c>
      <c r="O45" s="40">
        <f t="shared" si="15"/>
        <v>-120.03000000000003</v>
      </c>
      <c r="P45" s="42">
        <f t="shared" si="18"/>
        <v>76.28334321280379</v>
      </c>
      <c r="Q45" s="42">
        <f>N45-79.51</f>
        <v>306.56</v>
      </c>
      <c r="R45" s="100">
        <f>N45/79.51</f>
        <v>4.855615645830713</v>
      </c>
    </row>
    <row r="46" spans="1:18" s="6" customFormat="1" ht="15" hidden="1">
      <c r="A46" s="8"/>
      <c r="B46" s="55" t="s">
        <v>102</v>
      </c>
      <c r="C46" s="138">
        <v>22090100</v>
      </c>
      <c r="D46" s="109">
        <v>165</v>
      </c>
      <c r="E46" s="109">
        <v>55</v>
      </c>
      <c r="F46" s="118">
        <v>25.25</v>
      </c>
      <c r="G46" s="36">
        <f t="shared" si="11"/>
        <v>-29.75</v>
      </c>
      <c r="H46" s="32">
        <f t="shared" si="16"/>
        <v>45.909090909090914</v>
      </c>
      <c r="I46" s="42">
        <f t="shared" si="12"/>
        <v>-139.75</v>
      </c>
      <c r="J46" s="42">
        <f t="shared" si="17"/>
        <v>15.303030303030301</v>
      </c>
      <c r="K46" s="110">
        <f>F46-857.86</f>
        <v>-832.61</v>
      </c>
      <c r="L46" s="110">
        <f>F46/857.86*100</f>
        <v>2.943370713169981</v>
      </c>
      <c r="M46" s="32">
        <f t="shared" si="13"/>
        <v>55</v>
      </c>
      <c r="N46" s="32">
        <f t="shared" si="14"/>
        <v>25.25</v>
      </c>
      <c r="O46" s="40">
        <f t="shared" si="15"/>
        <v>-29.75</v>
      </c>
      <c r="P46" s="42">
        <f t="shared" si="18"/>
        <v>45.909090909090914</v>
      </c>
      <c r="Q46" s="42"/>
      <c r="R46" s="100"/>
    </row>
    <row r="47" spans="1:18" s="6" customFormat="1" ht="15" hidden="1">
      <c r="A47" s="8"/>
      <c r="B47" s="55" t="s">
        <v>99</v>
      </c>
      <c r="C47" s="138">
        <v>22090200</v>
      </c>
      <c r="D47" s="109">
        <v>3</v>
      </c>
      <c r="E47" s="109">
        <v>1</v>
      </c>
      <c r="F47" s="11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 hidden="1">
      <c r="A48" s="8"/>
      <c r="B48" s="55" t="s">
        <v>100</v>
      </c>
      <c r="C48" s="138">
        <v>22090300</v>
      </c>
      <c r="D48" s="109">
        <v>0.3</v>
      </c>
      <c r="E48" s="109">
        <v>0.1</v>
      </c>
      <c r="F48" s="11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 hidden="1">
      <c r="A49" s="8"/>
      <c r="B49" s="55" t="s">
        <v>101</v>
      </c>
      <c r="C49" s="138">
        <v>22090400</v>
      </c>
      <c r="D49" s="109">
        <v>1350</v>
      </c>
      <c r="E49" s="109">
        <v>450</v>
      </c>
      <c r="F49" s="118">
        <v>360.78</v>
      </c>
      <c r="G49" s="36">
        <f t="shared" si="11"/>
        <v>-89.22000000000003</v>
      </c>
      <c r="H49" s="32">
        <f t="shared" si="16"/>
        <v>80.17333333333333</v>
      </c>
      <c r="I49" s="42">
        <f t="shared" si="12"/>
        <v>-989.22</v>
      </c>
      <c r="J49" s="42">
        <f t="shared" si="17"/>
        <v>26.724444444444444</v>
      </c>
      <c r="K49" s="110">
        <f>F49-117.58</f>
        <v>243.2</v>
      </c>
      <c r="L49" s="110">
        <f>F49/117.58*100</f>
        <v>306.8378976016329</v>
      </c>
      <c r="M49" s="32">
        <f t="shared" si="13"/>
        <v>450</v>
      </c>
      <c r="N49" s="32">
        <f t="shared" si="14"/>
        <v>360.78</v>
      </c>
      <c r="O49" s="40">
        <f t="shared" si="15"/>
        <v>-89.22000000000003</v>
      </c>
      <c r="P49" s="42">
        <f t="shared" si="18"/>
        <v>80.17333333333333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1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>
        <f>N50-0</f>
        <v>0.17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17">
        <v>300.07</v>
      </c>
      <c r="G51" s="36">
        <f t="shared" si="11"/>
        <v>-49.93000000000001</v>
      </c>
      <c r="H51" s="32">
        <f t="shared" si="16"/>
        <v>85.7342857142857</v>
      </c>
      <c r="I51" s="42">
        <f t="shared" si="12"/>
        <v>-749.9300000000001</v>
      </c>
      <c r="J51" s="42">
        <f t="shared" si="17"/>
        <v>28.578095238095237</v>
      </c>
      <c r="K51" s="42">
        <f>F51-263.2</f>
        <v>36.870000000000005</v>
      </c>
      <c r="L51" s="42">
        <f>F51/3812.69*100</f>
        <v>7.870296299987673</v>
      </c>
      <c r="M51" s="32">
        <f t="shared" si="13"/>
        <v>350</v>
      </c>
      <c r="N51" s="32">
        <f t="shared" si="14"/>
        <v>300.07</v>
      </c>
      <c r="O51" s="40">
        <f t="shared" si="15"/>
        <v>-49.93000000000001</v>
      </c>
      <c r="P51" s="42">
        <f t="shared" si="18"/>
        <v>85.7342857142857</v>
      </c>
      <c r="Q51" s="42">
        <f>N51-277.38</f>
        <v>22.689999999999998</v>
      </c>
      <c r="R51" s="100">
        <f>N51/277.38</f>
        <v>1.0818011392313793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64.4</v>
      </c>
      <c r="G53" s="36">
        <f t="shared" si="11"/>
        <v>64.4</v>
      </c>
      <c r="H53" s="32"/>
      <c r="I53" s="42">
        <f t="shared" si="12"/>
        <v>64.4</v>
      </c>
      <c r="J53" s="42"/>
      <c r="K53" s="112">
        <f>F53-82.7</f>
        <v>-18.299999999999997</v>
      </c>
      <c r="L53" s="112">
        <f>F53/82.7*100</f>
        <v>77.87182587666264</v>
      </c>
      <c r="M53" s="32">
        <f t="shared" si="13"/>
        <v>0</v>
      </c>
      <c r="N53" s="32">
        <f t="shared" si="14"/>
        <v>64.4</v>
      </c>
      <c r="O53" s="40">
        <f t="shared" si="15"/>
        <v>64.4</v>
      </c>
      <c r="P53" s="42"/>
      <c r="Q53" s="42">
        <f>N53-64.93</f>
        <v>-0.5300000000000011</v>
      </c>
      <c r="R53" s="100">
        <f>N53/64.93</f>
        <v>0.9918373633143385</v>
      </c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1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1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1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">
        <f>F8+F33+F56+F57</f>
        <v>53929.270000000004</v>
      </c>
      <c r="G58" s="37">
        <f>F58-E58</f>
        <v>-965.0499999999956</v>
      </c>
      <c r="H58" s="38">
        <f>F58/E58*100</f>
        <v>98.24198569178014</v>
      </c>
      <c r="I58" s="28">
        <f>F58-D58</f>
        <v>-110033.97999999997</v>
      </c>
      <c r="J58" s="28">
        <f>F58/D58*100</f>
        <v>32.89107162733113</v>
      </c>
      <c r="K58" s="28">
        <f>K8+K33+K56+K57</f>
        <v>15189.73</v>
      </c>
      <c r="L58" s="28">
        <f>F58/38738.5*100</f>
        <v>139.2136246886173</v>
      </c>
      <c r="M58" s="15">
        <f>M8+M33+M56+M57</f>
        <v>54894.32</v>
      </c>
      <c r="N58" s="15">
        <f>N8+N33+N56+N57</f>
        <v>53928.240000000005</v>
      </c>
      <c r="O58" s="41">
        <f>N58-M58</f>
        <v>-966.0799999999945</v>
      </c>
      <c r="P58" s="28">
        <f>N58/M58*100</f>
        <v>98.24010935921969</v>
      </c>
      <c r="Q58" s="28">
        <f>N58-34768</f>
        <v>19160.240000000005</v>
      </c>
      <c r="R58" s="128">
        <f>N58/34768</f>
        <v>1.5510883571099863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114</v>
      </c>
      <c r="C63" s="150">
        <v>12020000</v>
      </c>
      <c r="D63" s="25">
        <v>0</v>
      </c>
      <c r="E63" s="25">
        <v>0</v>
      </c>
      <c r="F63" s="120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>
        <f>N64-24.53</f>
        <v>-24.8</v>
      </c>
      <c r="R64" s="103">
        <f>N64/24.53</f>
        <v>-0.0110069302894415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>
        <f>N65-92.85</f>
        <v>-84.36999999999999</v>
      </c>
      <c r="R65" s="104">
        <f>N65/92.85</f>
        <v>0.09133010231556274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20">
        <v>0.05</v>
      </c>
      <c r="G67" s="36">
        <f aca="true" t="shared" si="19" ref="G67:G76">F67-E67</f>
        <v>0.05</v>
      </c>
      <c r="H67" s="32"/>
      <c r="I67" s="43">
        <f aca="true" t="shared" si="20" ref="I67:I76">F67-D67</f>
        <v>0.05</v>
      </c>
      <c r="J67" s="43"/>
      <c r="K67" s="43">
        <f>F67-0.03</f>
        <v>0.020000000000000004</v>
      </c>
      <c r="L67" s="43">
        <f>F67/0.03*100</f>
        <v>166.66666666666669</v>
      </c>
      <c r="M67" s="32">
        <f>E67</f>
        <v>0</v>
      </c>
      <c r="N67" s="32">
        <f>F67</f>
        <v>0.05</v>
      </c>
      <c r="O67" s="40">
        <f aca="true" t="shared" si="21" ref="O67:O79">N67-M67</f>
        <v>0.05</v>
      </c>
      <c r="P67" s="43"/>
      <c r="Q67" s="43">
        <f>N67-0.04</f>
        <v>0.010000000000000002</v>
      </c>
      <c r="R67" s="103">
        <f>N67/0.04</f>
        <v>1.25</v>
      </c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20">
        <v>11.15</v>
      </c>
      <c r="G68" s="36">
        <f t="shared" si="19"/>
        <v>11.15</v>
      </c>
      <c r="H68" s="32"/>
      <c r="I68" s="43">
        <f t="shared" si="20"/>
        <v>11.15</v>
      </c>
      <c r="J68" s="43"/>
      <c r="K68" s="43">
        <f>F68-259.69</f>
        <v>-248.54</v>
      </c>
      <c r="L68" s="43">
        <f>F68/259.69*100</f>
        <v>4.293580807886326</v>
      </c>
      <c r="M68" s="32">
        <f>E68</f>
        <v>0</v>
      </c>
      <c r="N68" s="32">
        <f>F68</f>
        <v>11.15</v>
      </c>
      <c r="O68" s="40">
        <f t="shared" si="21"/>
        <v>11.15</v>
      </c>
      <c r="P68" s="43"/>
      <c r="Q68" s="43">
        <f>N68-450.01</f>
        <v>-438.86</v>
      </c>
      <c r="R68" s="103">
        <f>N68/450.01</f>
        <v>0.024777227172729496</v>
      </c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20">
        <v>75.31</v>
      </c>
      <c r="G69" s="36">
        <f t="shared" si="19"/>
        <v>75.31</v>
      </c>
      <c r="H69" s="32"/>
      <c r="I69" s="43">
        <f t="shared" si="20"/>
        <v>75.31</v>
      </c>
      <c r="J69" s="43"/>
      <c r="K69" s="43">
        <f>F69-(-16.04)</f>
        <v>91.35</v>
      </c>
      <c r="L69" s="43">
        <f>F69/(-16.04)*100</f>
        <v>-469.5137157107232</v>
      </c>
      <c r="M69" s="32">
        <f>E69</f>
        <v>0</v>
      </c>
      <c r="N69" s="32">
        <f>F69</f>
        <v>75.31</v>
      </c>
      <c r="O69" s="40">
        <f t="shared" si="21"/>
        <v>75.31</v>
      </c>
      <c r="P69" s="43"/>
      <c r="Q69" s="43">
        <f>N69-1.05</f>
        <v>74.26</v>
      </c>
      <c r="R69" s="103">
        <f>N69/1.05</f>
        <v>71.72380952380952</v>
      </c>
    </row>
    <row r="70" spans="2:18" ht="15">
      <c r="B70" s="23" t="s">
        <v>115</v>
      </c>
      <c r="C70" s="78">
        <v>24110700</v>
      </c>
      <c r="D70" s="25">
        <v>0</v>
      </c>
      <c r="E70" s="25">
        <v>0</v>
      </c>
      <c r="F70" s="120">
        <v>1</v>
      </c>
      <c r="G70" s="36">
        <f t="shared" si="19"/>
        <v>1</v>
      </c>
      <c r="H70" s="32"/>
      <c r="I70" s="43">
        <f t="shared" si="20"/>
        <v>1</v>
      </c>
      <c r="J70" s="43"/>
      <c r="K70" s="43"/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19">
        <f>F67+F68+F69+F70</f>
        <v>87.51</v>
      </c>
      <c r="G71" s="45">
        <f t="shared" si="19"/>
        <v>87.51</v>
      </c>
      <c r="H71" s="52"/>
      <c r="I71" s="44">
        <f t="shared" si="20"/>
        <v>87.51</v>
      </c>
      <c r="J71" s="44"/>
      <c r="K71" s="44">
        <f>K67+K68+K69</f>
        <v>-157.17</v>
      </c>
      <c r="L71" s="44">
        <f>F71/243.68*100</f>
        <v>35.91185160866711</v>
      </c>
      <c r="M71" s="45">
        <f>M67+M68+M69</f>
        <v>0</v>
      </c>
      <c r="N71" s="45">
        <f>N67+N68+N69</f>
        <v>86.51</v>
      </c>
      <c r="O71" s="44">
        <f t="shared" si="21"/>
        <v>86.51</v>
      </c>
      <c r="P71" s="44"/>
      <c r="Q71" s="44">
        <f>N71-7985.28</f>
        <v>-7898.7699999999995</v>
      </c>
      <c r="R71" s="129">
        <f>N71/7985.28</f>
        <v>0.010833683978520478</v>
      </c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20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>
        <f>F72/35.01*100</f>
        <v>0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>
        <f>N72-0.16</f>
        <v>-0.16</v>
      </c>
      <c r="R72" s="103">
        <f>N72/0.16</f>
        <v>0</v>
      </c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>
        <f>F73/19.48*100</f>
        <v>0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>
        <f>N73-8.76</f>
        <v>-8.76</v>
      </c>
      <c r="R73" s="105">
        <f>N73/8.76</f>
        <v>0</v>
      </c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20">
        <v>0</v>
      </c>
      <c r="G74" s="36">
        <f t="shared" si="19"/>
        <v>0</v>
      </c>
      <c r="H74" s="32"/>
      <c r="I74" s="43">
        <f t="shared" si="20"/>
        <v>0</v>
      </c>
      <c r="J74" s="43"/>
      <c r="K74" s="43">
        <f>F74-0.17</f>
        <v>-0.17</v>
      </c>
      <c r="L74" s="43">
        <f>F74/0.17*100</f>
        <v>0</v>
      </c>
      <c r="M74" s="32">
        <f t="shared" si="22"/>
        <v>0</v>
      </c>
      <c r="N74" s="32">
        <f t="shared" si="22"/>
        <v>0</v>
      </c>
      <c r="O74" s="40">
        <f t="shared" si="21"/>
        <v>0</v>
      </c>
      <c r="P74" s="43"/>
      <c r="Q74" s="43">
        <f>N74-(-0.21)</f>
        <v>0.21</v>
      </c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19">
        <f>F72+F74+F73</f>
        <v>0</v>
      </c>
      <c r="G75" s="45">
        <f t="shared" si="19"/>
        <v>0</v>
      </c>
      <c r="H75" s="52"/>
      <c r="I75" s="44">
        <f t="shared" si="20"/>
        <v>0</v>
      </c>
      <c r="J75" s="44"/>
      <c r="K75" s="44">
        <f>K72+K73+K74</f>
        <v>-0.17</v>
      </c>
      <c r="L75" s="44">
        <f>F75/0.17*100</f>
        <v>0</v>
      </c>
      <c r="M75" s="45">
        <f>M72+M74+M73</f>
        <v>0</v>
      </c>
      <c r="N75" s="45">
        <f>N72+N74+N73</f>
        <v>0</v>
      </c>
      <c r="O75" s="44">
        <f t="shared" si="21"/>
        <v>0</v>
      </c>
      <c r="P75" s="44"/>
      <c r="Q75" s="44">
        <f>N75-26.38</f>
        <v>-26.38</v>
      </c>
      <c r="R75" s="102">
        <f>N75/26.38</f>
        <v>0</v>
      </c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20">
        <v>0.15</v>
      </c>
      <c r="G76" s="36">
        <f t="shared" si="19"/>
        <v>0.15</v>
      </c>
      <c r="H76" s="32"/>
      <c r="I76" s="43">
        <f t="shared" si="20"/>
        <v>0.15</v>
      </c>
      <c r="J76" s="43"/>
      <c r="K76" s="43">
        <f>F76-0.59</f>
        <v>-0.43999999999999995</v>
      </c>
      <c r="L76" s="43">
        <f>F76/0.59*100</f>
        <v>25.423728813559322</v>
      </c>
      <c r="M76" s="32">
        <f>E76</f>
        <v>0</v>
      </c>
      <c r="N76" s="32">
        <f>F76</f>
        <v>0.15</v>
      </c>
      <c r="O76" s="40">
        <f t="shared" si="21"/>
        <v>0.15</v>
      </c>
      <c r="P76" s="43"/>
      <c r="Q76" s="43">
        <f>N76-0.45</f>
        <v>-0.30000000000000004</v>
      </c>
      <c r="R76" s="103">
        <f>N76/0.45</f>
        <v>0.3333333333333333</v>
      </c>
    </row>
    <row r="77" spans="2:18" ht="15" hidden="1">
      <c r="B77" s="137"/>
      <c r="C77" s="48"/>
      <c r="D77" s="25"/>
      <c r="E77" s="25"/>
      <c r="F77" s="120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24">
        <f>F65+F76+F71+F75+F77</f>
        <v>96.14</v>
      </c>
      <c r="G78" s="37">
        <f>F78-E78</f>
        <v>96.14</v>
      </c>
      <c r="H78" s="38"/>
      <c r="I78" s="28">
        <f>F78-D78</f>
        <v>96.14</v>
      </c>
      <c r="J78" s="28"/>
      <c r="K78" s="28">
        <f>K65+K71+K75+K76</f>
        <v>-162.44999999999996</v>
      </c>
      <c r="L78" s="28">
        <f>F78/248.84*100</f>
        <v>38.63526764185822</v>
      </c>
      <c r="M78" s="24">
        <f>M65+M76+M71+M75</f>
        <v>0</v>
      </c>
      <c r="N78" s="24">
        <f>N65+N76+N71+N75+N77</f>
        <v>95.14</v>
      </c>
      <c r="O78" s="28">
        <f t="shared" si="21"/>
        <v>95.14</v>
      </c>
      <c r="P78" s="28"/>
      <c r="Q78" s="28">
        <f>N78-8104.96</f>
        <v>-8009.82</v>
      </c>
      <c r="R78" s="101">
        <f>N78/8104.96</f>
        <v>0.011738490998104863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24">
        <f>F58+F78</f>
        <v>54025.41</v>
      </c>
      <c r="G79" s="37">
        <f>F79-E79</f>
        <v>-868.9099999999962</v>
      </c>
      <c r="H79" s="38">
        <f>F79/E79*100</f>
        <v>98.41712220863653</v>
      </c>
      <c r="I79" s="28">
        <f>F79-D79</f>
        <v>-109937.83999999997</v>
      </c>
      <c r="J79" s="28">
        <f>F79/D79*100</f>
        <v>32.94970671781635</v>
      </c>
      <c r="K79" s="28">
        <f>K58+K78</f>
        <v>15027.279999999999</v>
      </c>
      <c r="L79" s="28">
        <f>F79/38987.36*100</f>
        <v>138.57160371976968</v>
      </c>
      <c r="M79" s="15">
        <f>M58+M78</f>
        <v>54894.32</v>
      </c>
      <c r="N79" s="15">
        <f>N58+N78</f>
        <v>54023.380000000005</v>
      </c>
      <c r="O79" s="28">
        <f t="shared" si="21"/>
        <v>-870.939999999995</v>
      </c>
      <c r="P79" s="28">
        <f>N79/M79*100</f>
        <v>98.41342419397854</v>
      </c>
      <c r="Q79" s="28">
        <f>N79-42872.96</f>
        <v>11150.420000000006</v>
      </c>
      <c r="R79" s="101">
        <f>N79/42872.96</f>
        <v>1.2600804796309844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1</v>
      </c>
      <c r="D81" s="4" t="s">
        <v>36</v>
      </c>
    </row>
    <row r="82" spans="2:17" ht="30.75">
      <c r="B82" s="57" t="s">
        <v>54</v>
      </c>
      <c r="C82" s="31">
        <f>IF(O58&lt;0,ABS(O58/C81),0)</f>
        <v>966.0799999999945</v>
      </c>
      <c r="D82" s="4" t="s">
        <v>24</v>
      </c>
      <c r="G82" s="162"/>
      <c r="H82" s="162"/>
      <c r="I82" s="162"/>
      <c r="J82" s="162"/>
      <c r="K82" s="90"/>
      <c r="L82" s="90"/>
      <c r="P82" s="26"/>
      <c r="Q82" s="26"/>
    </row>
    <row r="83" spans="2:15" ht="34.5" customHeight="1">
      <c r="B83" s="58" t="s">
        <v>56</v>
      </c>
      <c r="C83" s="87">
        <v>42397</v>
      </c>
      <c r="D83" s="31">
        <v>8685</v>
      </c>
      <c r="G83" s="4" t="s">
        <v>59</v>
      </c>
      <c r="N83" s="157"/>
      <c r="O83" s="157"/>
    </row>
    <row r="84" spans="3:15" ht="15">
      <c r="C84" s="87">
        <v>42396</v>
      </c>
      <c r="D84" s="31">
        <v>4820.3</v>
      </c>
      <c r="F84" s="124" t="s">
        <v>59</v>
      </c>
      <c r="G84" s="152"/>
      <c r="H84" s="152"/>
      <c r="I84" s="131"/>
      <c r="J84" s="159"/>
      <c r="K84" s="159"/>
      <c r="L84" s="159"/>
      <c r="M84" s="159"/>
      <c r="N84" s="157"/>
      <c r="O84" s="157"/>
    </row>
    <row r="85" spans="3:15" ht="15.75" customHeight="1">
      <c r="C85" s="87">
        <v>42395</v>
      </c>
      <c r="D85" s="31">
        <v>3621.6</v>
      </c>
      <c r="F85" s="73"/>
      <c r="G85" s="152"/>
      <c r="H85" s="152"/>
      <c r="I85" s="131"/>
      <c r="J85" s="156"/>
      <c r="K85" s="156"/>
      <c r="L85" s="156"/>
      <c r="M85" s="156"/>
      <c r="N85" s="157"/>
      <c r="O85" s="157"/>
    </row>
    <row r="86" spans="3:13" ht="15.75" customHeight="1">
      <c r="C86" s="87"/>
      <c r="F86" s="73"/>
      <c r="G86" s="158"/>
      <c r="H86" s="158"/>
      <c r="I86" s="139"/>
      <c r="J86" s="159"/>
      <c r="K86" s="159"/>
      <c r="L86" s="159"/>
      <c r="M86" s="159"/>
    </row>
    <row r="87" spans="2:13" ht="18.75" customHeight="1">
      <c r="B87" s="160" t="s">
        <v>57</v>
      </c>
      <c r="C87" s="161"/>
      <c r="D87" s="148">
        <v>81.60832</v>
      </c>
      <c r="E87" s="74"/>
      <c r="F87" s="140"/>
      <c r="G87" s="152"/>
      <c r="H87" s="152"/>
      <c r="I87" s="141"/>
      <c r="J87" s="159"/>
      <c r="K87" s="159"/>
      <c r="L87" s="159"/>
      <c r="M87" s="159"/>
    </row>
    <row r="88" spans="6:12" ht="9.75" customHeight="1">
      <c r="F88" s="73"/>
      <c r="G88" s="152"/>
      <c r="H88" s="152"/>
      <c r="I88" s="73"/>
      <c r="J88" s="74"/>
      <c r="K88" s="74"/>
      <c r="L88" s="74"/>
    </row>
    <row r="89" spans="2:12" ht="22.5" customHeight="1" hidden="1">
      <c r="B89" s="153" t="s">
        <v>60</v>
      </c>
      <c r="C89" s="154"/>
      <c r="D89" s="86">
        <v>0</v>
      </c>
      <c r="E89" s="56" t="s">
        <v>24</v>
      </c>
      <c r="F89" s="73"/>
      <c r="G89" s="152"/>
      <c r="H89" s="152"/>
      <c r="I89" s="73"/>
      <c r="J89" s="74"/>
      <c r="K89" s="74"/>
      <c r="L89" s="74"/>
    </row>
    <row r="90" spans="4:15" ht="15">
      <c r="D90" s="84"/>
      <c r="F90" s="73"/>
      <c r="G90" s="74"/>
      <c r="H90" s="74"/>
      <c r="I90" s="74"/>
      <c r="N90" s="152"/>
      <c r="O90" s="152"/>
    </row>
    <row r="91" spans="4:15" ht="15">
      <c r="D91" s="83"/>
      <c r="I91" s="31"/>
      <c r="N91" s="155"/>
      <c r="O91" s="155"/>
    </row>
    <row r="92" spans="14:15" ht="15">
      <c r="N92" s="152"/>
      <c r="O92" s="152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26" right="0.18" top="0.24" bottom="0.39" header="0.18" footer="0.2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2016-01-29T09:05:27Z</cp:lastPrinted>
  <dcterms:created xsi:type="dcterms:W3CDTF">2003-07-28T11:27:56Z</dcterms:created>
  <dcterms:modified xsi:type="dcterms:W3CDTF">2016-01-29T09:30:31Z</dcterms:modified>
  <cp:category/>
  <cp:version/>
  <cp:contentType/>
  <cp:contentStatus/>
</cp:coreProperties>
</file>